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CONTRACT'!$A$1:$B$43</definedName>
    <definedName name="Excel_BuiltIn_Print_Area_1_11">'VALORI CONTRACT'!$A$1:$B$43</definedName>
    <definedName name="Excel_BuiltIn_Print_Area_1_1_1">'VALORI CONTRACT'!$A$1:$B$43</definedName>
    <definedName name="_xlnm.Print_Area" localSheetId="0">'VALORI CONTRACT'!$A$1:$W$50</definedName>
    <definedName name="_xlnm.Print_Titles" localSheetId="0">'VALORI CONTRACT'!$10:$10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<sst xmlns="http://schemas.openxmlformats.org/spreadsheetml/2006/main" count="118" uniqueCount="87">
  <si>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</si>
  <si>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</si>
  <si>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</si>
  <si>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</si>
  <si>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</si>
  <si>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</si>
  <si>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</si>
  <si>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</si>
  <si>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</si>
  <si>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</si>
  <si>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</si>
  <si>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</si>
  <si>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</si>
  <si>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</si>
  <si>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</si>
  <si>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</si>
  <si>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</si>
  <si>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</si>
  <si>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</si>
  <si>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</si>
  <si>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</si>
  <si>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</si>
  <si>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</si>
  <si>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</si>
  <si>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</si>
  <si>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</si>
  <si>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</si>
  <si>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</si>
  <si>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</si>
  <si>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</si>
  <si>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</si>
  <si>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</si>
  <si>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</si>
  <si>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</si>
  <si>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</si>
  <si>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</si>
  <si>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</si>
  <si>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</si>
  <si>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</si>
  <si>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</si>
  <si>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</si>
  <si>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</si>
  <si>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</si>
  <si>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</si>
  <si>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</si>
  <si>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</si>
  <si>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</si>
  <si>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</si>
  <si>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</si>
  <si>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</si>
  <si>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</si>
  <si>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III/02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</si>
  <si>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</si>
  <si>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</si>
  <si>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</si>
  <si>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</si>
  <si>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</si>
  <si>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</si>
  <si>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</si>
  <si>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</si>
  <si>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</si>
  <si>
    <t>SITUATIA VALORILOR DE CONTRACT 2024</t>
  </si>
  <si>
    <t>MONITORIZARE DECEMBRIE 2023 PART. II</t>
  </si>
  <si>
    <t>TOTAL 2024 MONITORIZARE</t>
  </si>
  <si>
    <t>IANUARIE 2024 (VALIDAT)</t>
  </si>
  <si>
    <t>MONITORIZARE IANUARIE 2024</t>
  </si>
  <si>
    <t>PREVENTIE IANUARIE 2024</t>
  </si>
  <si>
    <t>TOTAL 2024 PREVENTIE</t>
  </si>
  <si>
    <t>FEBRUARIE 2024 (VALIDAT)</t>
  </si>
  <si>
    <t>APRILIE 2024</t>
  </si>
  <si>
    <t>TOTAL 2024 ACTIVITATE CURENTA</t>
  </si>
  <si>
    <t>TOTAL TRIM.I 2024 ACTIVITATE CURENTA</t>
  </si>
  <si>
    <t>TOTAL TRIM.II 2024 ACTIVITATE CURENTA</t>
  </si>
  <si>
    <t>TRIM.I 2024 ACTIVITATE CURENTA CU MONITORIZARE,  PREVENTIE</t>
  </si>
  <si>
    <t>TRIM.II 2024 ACTIVITATE CURENTA CU MONITORIZARE,  PREVENTIE</t>
  </si>
  <si>
    <t>TOTAL 2024 ACTIVITATE CURENTA CU MONITORIZARE, PREVENTIE</t>
  </si>
  <si>
    <t>MONITORIZARE FEBRUARIE 2024</t>
  </si>
  <si>
    <t>PREVENTIE FEBRUARIE 2024</t>
  </si>
  <si>
    <t>MAI 2024</t>
  </si>
  <si>
    <t>SC CENTRUL MEDICAL UNIREA - PUNCT DE LUCRU TIMISOARA CALEA MARTIRILOR</t>
  </si>
  <si>
    <t>SC CENTRUL MEDICAL ORTHOPEDICS SRL - PUNCT DE LUCRU TIMISOARA</t>
  </si>
  <si>
    <t>SC CENTRUL MEDICAL ORTOPEDICS SRL - PUNCT DE LUCRU SAG</t>
  </si>
  <si>
    <t>SC RTC RADIOLOGY THERAPEUTIC CENTER SRL</t>
  </si>
  <si>
    <t>III/46</t>
  </si>
  <si>
    <t>MARTIE 2024 (VALIDAT)</t>
  </si>
  <si>
    <t>MONITORIZARE MARTIE 2024</t>
  </si>
  <si>
    <t>PREVENTIE MARTIE 2024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</si>
</sst>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2" fontId="3" fillId="0" borderId="12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4" xfId="0" applyNumberFormat="1" applyFont="1" applyFill="1" applyBorder="1" applyAlignment="1">
      <alignment wrapText="1"/>
    </xf>
    <xf numFmtId="2" fontId="3" fillId="0" borderId="15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4" fontId="3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B50"/>
  <sheetViews>
    <sheetView tabSelected="1" zoomScaleSheetLayoutView="100" zoomScalePageLayoutView="0" workbookViewId="0" topLeftCell="A1">
      <pane xSplit="3" ySplit="10" topLeftCell="P1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50" sqref="R50"/>
    </sheetView>
  </sheetViews>
  <sheetFormatPr defaultColWidth="9.140625" defaultRowHeight="12.75"/>
  <cols>
    <col min="1" max="1" width="6.28125" style="9" customWidth="1"/>
    <col min="2" max="2" width="52.57421875" style="9" customWidth="1"/>
    <col min="3" max="3" width="10.00390625" style="9" customWidth="1"/>
    <col min="4" max="4" width="19.140625" style="9" customWidth="1"/>
    <col min="5" max="5" width="19.28125" style="9" customWidth="1"/>
    <col min="6" max="9" width="20.28125" style="9" customWidth="1"/>
    <col min="10" max="10" width="21.00390625" style="9" customWidth="1"/>
    <col min="11" max="11" width="22.8515625" style="9" customWidth="1"/>
    <col min="12" max="19" width="20.7109375" style="9" customWidth="1"/>
    <col min="20" max="22" width="21.00390625" style="9" customWidth="1"/>
    <col min="23" max="23" width="21.140625" style="20" customWidth="1"/>
    <col min="24" max="24" width="13.140625" style="9" customWidth="1"/>
    <col min="25" max="25" width="12.7109375" style="9" customWidth="1"/>
    <col min="26" max="26" width="11.28125" style="9" customWidth="1"/>
    <col min="27" max="27" width="10.57421875" style="9" customWidth="1"/>
    <col min="28" max="28" width="10.7109375" style="9" customWidth="1"/>
    <col min="29" max="16384" width="9.140625" style="9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spans="1:23" s="13" customFormat="1" ht="25.5" customHeight="1">
      <c r="A7" s="21"/>
      <c r="B7" s="13" t="s">
        <v>61</v>
      </c>
      <c r="W7" s="33"/>
    </row>
    <row r="8" spans="1:23" s="13" customFormat="1" ht="22.5" customHeight="1">
      <c r="A8" s="21"/>
      <c r="B8" s="14" t="s">
        <v>19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2" ht="23.2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3" s="19" customFormat="1" ht="93" customHeight="1">
      <c r="A10" s="3" t="s">
        <v>0</v>
      </c>
      <c r="B10" s="1" t="s">
        <v>1</v>
      </c>
      <c r="C10" s="11" t="s">
        <v>20</v>
      </c>
      <c r="D10" s="18" t="s">
        <v>64</v>
      </c>
      <c r="E10" s="18" t="s">
        <v>68</v>
      </c>
      <c r="F10" s="18" t="s">
        <v>62</v>
      </c>
      <c r="G10" s="18" t="s">
        <v>65</v>
      </c>
      <c r="H10" s="18" t="s">
        <v>66</v>
      </c>
      <c r="I10" s="18" t="s">
        <v>84</v>
      </c>
      <c r="J10" s="18" t="s">
        <v>71</v>
      </c>
      <c r="K10" s="18" t="s">
        <v>73</v>
      </c>
      <c r="L10" s="18" t="s">
        <v>69</v>
      </c>
      <c r="M10" s="18" t="s">
        <v>76</v>
      </c>
      <c r="N10" s="18" t="s">
        <v>77</v>
      </c>
      <c r="O10" s="18" t="s">
        <v>78</v>
      </c>
      <c r="P10" s="18" t="s">
        <v>85</v>
      </c>
      <c r="Q10" s="18" t="s">
        <v>86</v>
      </c>
      <c r="R10" s="18" t="s">
        <v>72</v>
      </c>
      <c r="S10" s="18" t="s">
        <v>74</v>
      </c>
      <c r="T10" s="18" t="s">
        <v>70</v>
      </c>
      <c r="U10" s="18" t="s">
        <v>63</v>
      </c>
      <c r="V10" s="18" t="s">
        <v>67</v>
      </c>
      <c r="W10" s="18" t="s">
        <v>75</v>
      </c>
    </row>
    <row r="11" spans="1:25" ht="55.5" customHeight="1">
      <c r="A11" s="8">
        <v>1</v>
      </c>
      <c r="B11" s="12" t="s">
        <v>58</v>
      </c>
      <c r="C11" s="5" t="s">
        <v>51</v>
      </c>
      <c r="D11" s="15">
        <v>232205.12</v>
      </c>
      <c r="E11" s="15">
        <v>269938.14</v>
      </c>
      <c r="F11" s="15">
        <v>345944.99</v>
      </c>
      <c r="G11" s="15">
        <v>379355.78</v>
      </c>
      <c r="H11" s="15">
        <v>0</v>
      </c>
      <c r="I11" s="15">
        <v>212726.31</v>
      </c>
      <c r="J11" s="15">
        <f aca="true" t="shared" si="0" ref="J11:J42">I11+E11+D11</f>
        <v>714869.5700000001</v>
      </c>
      <c r="K11" s="15">
        <f>F11+J11+G11+H11</f>
        <v>1440170.34</v>
      </c>
      <c r="L11" s="15">
        <f>189868.75-1.75</f>
        <v>189867</v>
      </c>
      <c r="M11" s="15">
        <v>406112.16</v>
      </c>
      <c r="N11" s="15">
        <v>0</v>
      </c>
      <c r="O11" s="15">
        <f>156216.93-3.52</f>
        <v>156213.41</v>
      </c>
      <c r="P11" s="15">
        <v>510211.94</v>
      </c>
      <c r="Q11" s="15">
        <v>0</v>
      </c>
      <c r="R11" s="15">
        <f>L11+O11</f>
        <v>346080.41000000003</v>
      </c>
      <c r="S11" s="15">
        <f>R11+M11+N11+P11+Q11</f>
        <v>1262404.51</v>
      </c>
      <c r="T11" s="15">
        <f>J11+R11</f>
        <v>1060949.98</v>
      </c>
      <c r="U11" s="15">
        <f>F11+G11+M11+P11</f>
        <v>1641624.8699999999</v>
      </c>
      <c r="V11" s="15">
        <f>H11+N11+Q11</f>
        <v>0</v>
      </c>
      <c r="W11" s="15">
        <f>T11+U11+V11</f>
        <v>2702574.8499999996</v>
      </c>
      <c r="X11" s="20"/>
      <c r="Y11" s="20"/>
    </row>
    <row r="12" spans="1:25" ht="55.5" customHeight="1">
      <c r="A12" s="8">
        <v>1</v>
      </c>
      <c r="B12" s="31" t="s">
        <v>79</v>
      </c>
      <c r="C12" s="5" t="s">
        <v>51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f t="shared" si="0"/>
        <v>0</v>
      </c>
      <c r="K12" s="15">
        <v>0</v>
      </c>
      <c r="L12" s="15">
        <v>0</v>
      </c>
      <c r="M12" s="15">
        <v>0</v>
      </c>
      <c r="N12" s="15">
        <v>0</v>
      </c>
      <c r="O12" s="15">
        <f>65928.86-4.86</f>
        <v>65924</v>
      </c>
      <c r="P12" s="15">
        <v>0</v>
      </c>
      <c r="Q12" s="15">
        <v>0</v>
      </c>
      <c r="R12" s="15">
        <f aca="true" t="shared" si="1" ref="R12:R42">L12+O12</f>
        <v>65924</v>
      </c>
      <c r="S12" s="15">
        <f aca="true" t="shared" si="2" ref="S12:S42">R12+M12+N12+P12+Q12</f>
        <v>65924</v>
      </c>
      <c r="T12" s="15">
        <f>J12+R12</f>
        <v>65924</v>
      </c>
      <c r="U12" s="15">
        <f aca="true" t="shared" si="3" ref="U12:U42">F12+G12+M12+P12</f>
        <v>0</v>
      </c>
      <c r="V12" s="15">
        <f aca="true" t="shared" si="4" ref="V12:V42">H12+N12+Q12</f>
        <v>0</v>
      </c>
      <c r="W12" s="15">
        <f>T12+U12+V12</f>
        <v>65924</v>
      </c>
      <c r="X12" s="20"/>
      <c r="Y12" s="20"/>
    </row>
    <row r="13" spans="1:25" ht="51" customHeight="1">
      <c r="A13" s="8">
        <v>1</v>
      </c>
      <c r="B13" s="12" t="s">
        <v>59</v>
      </c>
      <c r="C13" s="5" t="s">
        <v>51</v>
      </c>
      <c r="D13" s="15">
        <v>32795</v>
      </c>
      <c r="E13" s="15">
        <v>38119.91</v>
      </c>
      <c r="F13" s="15">
        <v>16151.09</v>
      </c>
      <c r="G13" s="15">
        <v>10671</v>
      </c>
      <c r="H13" s="15">
        <v>0</v>
      </c>
      <c r="I13" s="15">
        <v>30134</v>
      </c>
      <c r="J13" s="15">
        <f t="shared" si="0"/>
        <v>101048.91</v>
      </c>
      <c r="K13" s="15">
        <f aca="true" t="shared" si="5" ref="K13:K42">F13+J13+G13+H13</f>
        <v>127871</v>
      </c>
      <c r="L13" s="15">
        <f>26917.84-0.84</f>
        <v>26917</v>
      </c>
      <c r="M13" s="15">
        <v>17885.09</v>
      </c>
      <c r="N13" s="15">
        <v>0</v>
      </c>
      <c r="O13" s="15">
        <f>22267.25-3.34</f>
        <v>22263.91</v>
      </c>
      <c r="P13" s="15">
        <v>8038</v>
      </c>
      <c r="Q13" s="15">
        <v>0</v>
      </c>
      <c r="R13" s="15">
        <f t="shared" si="1"/>
        <v>49180.91</v>
      </c>
      <c r="S13" s="15">
        <f t="shared" si="2"/>
        <v>75104</v>
      </c>
      <c r="T13" s="15">
        <f aca="true" t="shared" si="6" ref="T13:T42">J13+R13</f>
        <v>150229.82</v>
      </c>
      <c r="U13" s="15">
        <f t="shared" si="3"/>
        <v>52745.18</v>
      </c>
      <c r="V13" s="15">
        <f t="shared" si="4"/>
        <v>0</v>
      </c>
      <c r="W13" s="15">
        <f aca="true" t="shared" si="7" ref="W13:W42">T13+U13+V13</f>
        <v>202975</v>
      </c>
      <c r="X13" s="20"/>
      <c r="Y13" s="20"/>
    </row>
    <row r="14" spans="1:25" ht="48" customHeight="1">
      <c r="A14" s="8">
        <v>1</v>
      </c>
      <c r="B14" s="12" t="s">
        <v>60</v>
      </c>
      <c r="C14" s="5" t="s">
        <v>51</v>
      </c>
      <c r="D14" s="15">
        <v>27366</v>
      </c>
      <c r="E14" s="15">
        <v>31812.96</v>
      </c>
      <c r="F14" s="15">
        <v>21681.04</v>
      </c>
      <c r="G14" s="15">
        <v>16581</v>
      </c>
      <c r="H14" s="15">
        <v>0</v>
      </c>
      <c r="I14" s="15">
        <v>25139</v>
      </c>
      <c r="J14" s="15">
        <f t="shared" si="0"/>
        <v>84317.95999999999</v>
      </c>
      <c r="K14" s="15">
        <f t="shared" si="5"/>
        <v>122580</v>
      </c>
      <c r="L14" s="15">
        <f>22468.61-3.61</f>
        <v>22465</v>
      </c>
      <c r="M14" s="15">
        <v>41714.04</v>
      </c>
      <c r="N14" s="15">
        <v>0</v>
      </c>
      <c r="O14" s="15">
        <f>18586.73-2.77</f>
        <v>18583.96</v>
      </c>
      <c r="P14" s="15">
        <v>37781</v>
      </c>
      <c r="Q14" s="15">
        <v>0</v>
      </c>
      <c r="R14" s="15">
        <f t="shared" si="1"/>
        <v>41048.96</v>
      </c>
      <c r="S14" s="15">
        <f t="shared" si="2"/>
        <v>120544</v>
      </c>
      <c r="T14" s="15">
        <f t="shared" si="6"/>
        <v>125366.91999999998</v>
      </c>
      <c r="U14" s="15">
        <f t="shared" si="3"/>
        <v>117757.08</v>
      </c>
      <c r="V14" s="15">
        <f t="shared" si="4"/>
        <v>0</v>
      </c>
      <c r="W14" s="15">
        <f t="shared" si="7"/>
        <v>243124</v>
      </c>
      <c r="X14" s="20"/>
      <c r="Y14" s="20"/>
    </row>
    <row r="15" spans="1:24" ht="42" customHeight="1">
      <c r="A15" s="8">
        <v>2</v>
      </c>
      <c r="B15" s="7" t="s">
        <v>7</v>
      </c>
      <c r="C15" s="5" t="s">
        <v>30</v>
      </c>
      <c r="D15" s="15">
        <v>51260</v>
      </c>
      <c r="E15" s="15">
        <v>61993</v>
      </c>
      <c r="F15" s="15">
        <v>0</v>
      </c>
      <c r="G15" s="15">
        <v>0</v>
      </c>
      <c r="H15" s="15">
        <v>0</v>
      </c>
      <c r="I15" s="15">
        <v>48267</v>
      </c>
      <c r="J15" s="15">
        <f t="shared" si="0"/>
        <v>161520</v>
      </c>
      <c r="K15" s="15">
        <f t="shared" si="5"/>
        <v>161520</v>
      </c>
      <c r="L15" s="15">
        <f>44306.55-0.55</f>
        <v>44306</v>
      </c>
      <c r="M15" s="15">
        <v>0</v>
      </c>
      <c r="N15" s="15">
        <v>0</v>
      </c>
      <c r="O15" s="15">
        <f>36808.63-2.63</f>
        <v>36806</v>
      </c>
      <c r="P15" s="15">
        <v>0</v>
      </c>
      <c r="Q15" s="15">
        <v>0</v>
      </c>
      <c r="R15" s="15">
        <f t="shared" si="1"/>
        <v>81112</v>
      </c>
      <c r="S15" s="15">
        <f t="shared" si="2"/>
        <v>81112</v>
      </c>
      <c r="T15" s="15">
        <f t="shared" si="6"/>
        <v>242632</v>
      </c>
      <c r="U15" s="15">
        <f t="shared" si="3"/>
        <v>0</v>
      </c>
      <c r="V15" s="15">
        <f t="shared" si="4"/>
        <v>0</v>
      </c>
      <c r="W15" s="15">
        <f t="shared" si="7"/>
        <v>242632</v>
      </c>
      <c r="X15" s="20"/>
    </row>
    <row r="16" spans="1:25" ht="39.75" customHeight="1">
      <c r="A16" s="8">
        <v>3</v>
      </c>
      <c r="B16" s="7" t="s">
        <v>39</v>
      </c>
      <c r="C16" s="5" t="s">
        <v>37</v>
      </c>
      <c r="D16" s="15">
        <v>192612.36</v>
      </c>
      <c r="E16" s="15">
        <v>223928.17</v>
      </c>
      <c r="F16" s="15">
        <v>350019.11</v>
      </c>
      <c r="G16" s="15">
        <v>293091.04</v>
      </c>
      <c r="H16" s="15">
        <v>0</v>
      </c>
      <c r="I16" s="15">
        <v>175697.76</v>
      </c>
      <c r="J16" s="15">
        <f t="shared" si="0"/>
        <v>592238.29</v>
      </c>
      <c r="K16" s="15">
        <f t="shared" si="5"/>
        <v>1235348.44</v>
      </c>
      <c r="L16" s="15">
        <f>156646.41-0.41</f>
        <v>156646</v>
      </c>
      <c r="M16" s="15">
        <v>374337.11</v>
      </c>
      <c r="N16" s="15">
        <v>0</v>
      </c>
      <c r="O16" s="15">
        <f>133412.68-0.79</f>
        <v>133411.88999999998</v>
      </c>
      <c r="P16" s="15">
        <v>419964.8</v>
      </c>
      <c r="Q16" s="15">
        <v>0</v>
      </c>
      <c r="R16" s="15">
        <f t="shared" si="1"/>
        <v>290057.89</v>
      </c>
      <c r="S16" s="15">
        <f t="shared" si="2"/>
        <v>1084359.8</v>
      </c>
      <c r="T16" s="15">
        <f t="shared" si="6"/>
        <v>882296.18</v>
      </c>
      <c r="U16" s="15">
        <f t="shared" si="3"/>
        <v>1437412.0599999998</v>
      </c>
      <c r="V16" s="15">
        <f t="shared" si="4"/>
        <v>0</v>
      </c>
      <c r="W16" s="15">
        <f t="shared" si="7"/>
        <v>2319708.2399999998</v>
      </c>
      <c r="X16" s="20"/>
      <c r="Y16" s="20"/>
    </row>
    <row r="17" spans="1:25" ht="39.75" customHeight="1">
      <c r="A17" s="8">
        <v>3</v>
      </c>
      <c r="B17" s="7" t="s">
        <v>45</v>
      </c>
      <c r="C17" s="5" t="s">
        <v>37</v>
      </c>
      <c r="D17" s="15">
        <v>8110.35</v>
      </c>
      <c r="E17" s="15">
        <v>6980.55</v>
      </c>
      <c r="F17" s="15">
        <v>0</v>
      </c>
      <c r="G17" s="15">
        <v>0</v>
      </c>
      <c r="H17" s="15">
        <v>0</v>
      </c>
      <c r="I17" s="15">
        <v>0</v>
      </c>
      <c r="J17" s="15">
        <f t="shared" si="0"/>
        <v>15090.900000000001</v>
      </c>
      <c r="K17" s="15">
        <f t="shared" si="5"/>
        <v>15090.900000000001</v>
      </c>
      <c r="L17" s="15">
        <f>6673.85-14</f>
        <v>6659.85</v>
      </c>
      <c r="M17" s="15">
        <v>0</v>
      </c>
      <c r="N17" s="15">
        <v>0</v>
      </c>
      <c r="O17" s="15">
        <f>5758.02-1.22</f>
        <v>5756.8</v>
      </c>
      <c r="P17" s="15">
        <v>0</v>
      </c>
      <c r="Q17" s="15">
        <v>0</v>
      </c>
      <c r="R17" s="15">
        <f t="shared" si="1"/>
        <v>12416.650000000001</v>
      </c>
      <c r="S17" s="15">
        <f t="shared" si="2"/>
        <v>12416.650000000001</v>
      </c>
      <c r="T17" s="15">
        <f t="shared" si="6"/>
        <v>27507.550000000003</v>
      </c>
      <c r="U17" s="15">
        <f t="shared" si="3"/>
        <v>0</v>
      </c>
      <c r="V17" s="15">
        <f t="shared" si="4"/>
        <v>0</v>
      </c>
      <c r="W17" s="15">
        <f t="shared" si="7"/>
        <v>27507.550000000003</v>
      </c>
      <c r="X17" s="20"/>
      <c r="Y17" s="20"/>
    </row>
    <row r="18" spans="1:24" ht="39.75" customHeight="1">
      <c r="A18" s="8">
        <v>4</v>
      </c>
      <c r="B18" s="7" t="s">
        <v>3</v>
      </c>
      <c r="C18" s="5" t="s">
        <v>35</v>
      </c>
      <c r="D18" s="15">
        <v>98556.36</v>
      </c>
      <c r="E18" s="15">
        <v>114577.29</v>
      </c>
      <c r="F18" s="15">
        <f>347820.39-302082.72</f>
        <v>45737.67000000004</v>
      </c>
      <c r="G18" s="15">
        <v>342089.71</v>
      </c>
      <c r="H18" s="15">
        <v>889.5</v>
      </c>
      <c r="I18" s="15">
        <v>90495.35</v>
      </c>
      <c r="J18" s="15">
        <f t="shared" si="0"/>
        <v>303629</v>
      </c>
      <c r="K18" s="15">
        <f t="shared" si="5"/>
        <v>692345.8800000001</v>
      </c>
      <c r="L18" s="15">
        <f>85619.94-1.01</f>
        <v>85618.93000000001</v>
      </c>
      <c r="M18" s="15">
        <v>405333.17</v>
      </c>
      <c r="N18" s="15">
        <v>313.08</v>
      </c>
      <c r="O18" s="15">
        <f>73419.65-1.82</f>
        <v>73417.82999999999</v>
      </c>
      <c r="P18" s="15">
        <v>442585.91</v>
      </c>
      <c r="Q18" s="15">
        <v>696.6</v>
      </c>
      <c r="R18" s="15">
        <f t="shared" si="1"/>
        <v>159036.76</v>
      </c>
      <c r="S18" s="15">
        <f t="shared" si="2"/>
        <v>1007965.5199999999</v>
      </c>
      <c r="T18" s="15">
        <f t="shared" si="6"/>
        <v>462665.76</v>
      </c>
      <c r="U18" s="15">
        <f t="shared" si="3"/>
        <v>1235746.46</v>
      </c>
      <c r="V18" s="15">
        <f t="shared" si="4"/>
        <v>1899.1799999999998</v>
      </c>
      <c r="W18" s="15">
        <f t="shared" si="7"/>
        <v>1700311.4</v>
      </c>
      <c r="X18" s="20"/>
    </row>
    <row r="19" spans="1:24" ht="39.75" customHeight="1">
      <c r="A19" s="8">
        <v>5</v>
      </c>
      <c r="B19" s="24" t="s">
        <v>40</v>
      </c>
      <c r="C19" s="6" t="s">
        <v>41</v>
      </c>
      <c r="D19" s="15">
        <v>50158</v>
      </c>
      <c r="E19" s="15">
        <v>59287</v>
      </c>
      <c r="F19" s="15">
        <v>0</v>
      </c>
      <c r="G19" s="15">
        <v>0</v>
      </c>
      <c r="H19" s="15">
        <v>0</v>
      </c>
      <c r="I19" s="15">
        <v>45786</v>
      </c>
      <c r="J19" s="15">
        <f t="shared" si="0"/>
        <v>155231</v>
      </c>
      <c r="K19" s="15">
        <f t="shared" si="5"/>
        <v>155231</v>
      </c>
      <c r="L19" s="15">
        <f>40894.05-26.65</f>
        <v>40867.4</v>
      </c>
      <c r="M19" s="15">
        <v>0</v>
      </c>
      <c r="N19" s="15">
        <v>0</v>
      </c>
      <c r="O19" s="15">
        <f>35743.81-12.01</f>
        <v>35731.799999999996</v>
      </c>
      <c r="P19" s="15">
        <v>0</v>
      </c>
      <c r="Q19" s="15">
        <v>0</v>
      </c>
      <c r="R19" s="15">
        <f t="shared" si="1"/>
        <v>76599.2</v>
      </c>
      <c r="S19" s="15">
        <f t="shared" si="2"/>
        <v>76599.2</v>
      </c>
      <c r="T19" s="15">
        <f t="shared" si="6"/>
        <v>231830.2</v>
      </c>
      <c r="U19" s="15">
        <f t="shared" si="3"/>
        <v>0</v>
      </c>
      <c r="V19" s="15">
        <f t="shared" si="4"/>
        <v>0</v>
      </c>
      <c r="W19" s="15">
        <f t="shared" si="7"/>
        <v>231830.2</v>
      </c>
      <c r="X19" s="20"/>
    </row>
    <row r="20" spans="1:25" ht="39.75" customHeight="1">
      <c r="A20" s="8">
        <v>6</v>
      </c>
      <c r="B20" s="7" t="s">
        <v>4</v>
      </c>
      <c r="C20" s="5" t="s">
        <v>28</v>
      </c>
      <c r="D20" s="15">
        <v>60412.32</v>
      </c>
      <c r="E20" s="15">
        <v>70327.86</v>
      </c>
      <c r="F20" s="15">
        <v>0</v>
      </c>
      <c r="G20" s="15">
        <v>0</v>
      </c>
      <c r="H20" s="15">
        <v>0</v>
      </c>
      <c r="I20" s="15">
        <v>54900.28</v>
      </c>
      <c r="J20" s="15">
        <f t="shared" si="0"/>
        <v>185640.46</v>
      </c>
      <c r="K20" s="15">
        <f t="shared" si="5"/>
        <v>185640.46</v>
      </c>
      <c r="L20" s="15">
        <f>48902.67-0.02</f>
        <v>48902.65</v>
      </c>
      <c r="M20" s="15">
        <v>1264.52</v>
      </c>
      <c r="N20" s="15">
        <v>0</v>
      </c>
      <c r="O20" s="15">
        <f>42368.78-0.18</f>
        <v>42368.6</v>
      </c>
      <c r="P20" s="15">
        <v>4061.65</v>
      </c>
      <c r="Q20" s="15">
        <v>0</v>
      </c>
      <c r="R20" s="15">
        <f t="shared" si="1"/>
        <v>91271.25</v>
      </c>
      <c r="S20" s="15">
        <f t="shared" si="2"/>
        <v>96597.42</v>
      </c>
      <c r="T20" s="15">
        <f t="shared" si="6"/>
        <v>276911.70999999996</v>
      </c>
      <c r="U20" s="15">
        <f t="shared" si="3"/>
        <v>5326.17</v>
      </c>
      <c r="V20" s="15">
        <f t="shared" si="4"/>
        <v>0</v>
      </c>
      <c r="W20" s="15">
        <f t="shared" si="7"/>
        <v>282237.87999999995</v>
      </c>
      <c r="X20" s="20"/>
      <c r="Y20" s="20"/>
    </row>
    <row r="21" spans="1:24" ht="39.75" customHeight="1">
      <c r="A21" s="8">
        <v>7</v>
      </c>
      <c r="B21" s="25" t="s">
        <v>18</v>
      </c>
      <c r="C21" s="6" t="s">
        <v>34</v>
      </c>
      <c r="D21" s="15">
        <v>102562.59</v>
      </c>
      <c r="E21" s="15">
        <v>119233.24</v>
      </c>
      <c r="F21" s="15">
        <v>33945.19</v>
      </c>
      <c r="G21" s="15">
        <v>56821.61</v>
      </c>
      <c r="H21" s="15">
        <v>0</v>
      </c>
      <c r="I21" s="15">
        <v>93594.07</v>
      </c>
      <c r="J21" s="15">
        <f t="shared" si="0"/>
        <v>315389.9</v>
      </c>
      <c r="K21" s="15">
        <f t="shared" si="5"/>
        <v>406156.7</v>
      </c>
      <c r="L21" s="15">
        <f>83458.73-2.93</f>
        <v>83455.8</v>
      </c>
      <c r="M21" s="15">
        <v>72499.31</v>
      </c>
      <c r="N21" s="15">
        <v>0</v>
      </c>
      <c r="O21" s="15">
        <f>70954.6-0.91</f>
        <v>70953.69</v>
      </c>
      <c r="P21" s="15">
        <v>53479.13</v>
      </c>
      <c r="Q21" s="15">
        <v>0</v>
      </c>
      <c r="R21" s="15">
        <f t="shared" si="1"/>
        <v>154409.49</v>
      </c>
      <c r="S21" s="15">
        <f t="shared" si="2"/>
        <v>280387.93</v>
      </c>
      <c r="T21" s="15">
        <f t="shared" si="6"/>
        <v>469799.39</v>
      </c>
      <c r="U21" s="15">
        <f t="shared" si="3"/>
        <v>216745.24</v>
      </c>
      <c r="V21" s="15">
        <f t="shared" si="4"/>
        <v>0</v>
      </c>
      <c r="W21" s="15">
        <f t="shared" si="7"/>
        <v>686544.63</v>
      </c>
      <c r="X21" s="20"/>
    </row>
    <row r="22" spans="1:24" ht="57.75" customHeight="1">
      <c r="A22" s="8">
        <v>8</v>
      </c>
      <c r="B22" s="25" t="s">
        <v>49</v>
      </c>
      <c r="C22" s="6" t="s">
        <v>46</v>
      </c>
      <c r="D22" s="15">
        <v>167738.67</v>
      </c>
      <c r="E22" s="15">
        <v>207807.25</v>
      </c>
      <c r="F22" s="15">
        <v>0</v>
      </c>
      <c r="G22" s="15">
        <v>0</v>
      </c>
      <c r="H22" s="15">
        <v>0</v>
      </c>
      <c r="I22" s="15">
        <v>159200.28</v>
      </c>
      <c r="J22" s="15">
        <f t="shared" si="0"/>
        <v>534746.2000000001</v>
      </c>
      <c r="K22" s="15">
        <f t="shared" si="5"/>
        <v>534746.2000000001</v>
      </c>
      <c r="L22" s="15">
        <f>142097.36-0.84</f>
        <v>142096.52</v>
      </c>
      <c r="M22" s="15">
        <v>8150.86</v>
      </c>
      <c r="N22" s="15">
        <v>0</v>
      </c>
      <c r="O22" s="15">
        <f>119462.25-0.11</f>
        <v>119462.14</v>
      </c>
      <c r="P22" s="15">
        <v>30342.18</v>
      </c>
      <c r="Q22" s="15">
        <v>0</v>
      </c>
      <c r="R22" s="15">
        <f t="shared" si="1"/>
        <v>261558.65999999997</v>
      </c>
      <c r="S22" s="15">
        <f t="shared" si="2"/>
        <v>300051.69999999995</v>
      </c>
      <c r="T22" s="15">
        <f t="shared" si="6"/>
        <v>796304.8600000001</v>
      </c>
      <c r="U22" s="15">
        <f t="shared" si="3"/>
        <v>38493.04</v>
      </c>
      <c r="V22" s="15">
        <f t="shared" si="4"/>
        <v>0</v>
      </c>
      <c r="W22" s="15">
        <f t="shared" si="7"/>
        <v>834797.9000000001</v>
      </c>
      <c r="X22" s="20"/>
    </row>
    <row r="23" spans="1:24" ht="48.75" customHeight="1">
      <c r="A23" s="8">
        <v>9</v>
      </c>
      <c r="B23" s="25" t="s">
        <v>48</v>
      </c>
      <c r="C23" s="6" t="s">
        <v>47</v>
      </c>
      <c r="D23" s="15">
        <v>121478</v>
      </c>
      <c r="E23" s="15">
        <v>141230.18</v>
      </c>
      <c r="F23" s="15">
        <v>125716.82</v>
      </c>
      <c r="G23" s="15">
        <v>169169</v>
      </c>
      <c r="H23" s="15">
        <v>0</v>
      </c>
      <c r="I23" s="15">
        <v>110978</v>
      </c>
      <c r="J23" s="15">
        <f t="shared" si="0"/>
        <v>373686.18</v>
      </c>
      <c r="K23" s="15">
        <f t="shared" si="5"/>
        <v>668572</v>
      </c>
      <c r="L23" s="15">
        <f>99142.27-1.27</f>
        <v>99141</v>
      </c>
      <c r="M23" s="15">
        <v>133324.82</v>
      </c>
      <c r="N23" s="15">
        <v>0</v>
      </c>
      <c r="O23" s="15">
        <f>83947.61-2.43</f>
        <v>83945.18000000001</v>
      </c>
      <c r="P23" s="15">
        <v>164708</v>
      </c>
      <c r="Q23" s="15">
        <v>0</v>
      </c>
      <c r="R23" s="15">
        <f t="shared" si="1"/>
        <v>183086.18</v>
      </c>
      <c r="S23" s="15">
        <f t="shared" si="2"/>
        <v>481119</v>
      </c>
      <c r="T23" s="15">
        <f t="shared" si="6"/>
        <v>556772.36</v>
      </c>
      <c r="U23" s="15">
        <f t="shared" si="3"/>
        <v>592918.64</v>
      </c>
      <c r="V23" s="15">
        <f t="shared" si="4"/>
        <v>0</v>
      </c>
      <c r="W23" s="15">
        <f t="shared" si="7"/>
        <v>1149691</v>
      </c>
      <c r="X23" s="20"/>
    </row>
    <row r="24" spans="1:24" ht="39.75" customHeight="1">
      <c r="A24" s="8">
        <v>10</v>
      </c>
      <c r="B24" s="7" t="s">
        <v>38</v>
      </c>
      <c r="C24" s="5" t="s">
        <v>33</v>
      </c>
      <c r="D24" s="15">
        <v>25023.43</v>
      </c>
      <c r="E24" s="15">
        <v>23611.09</v>
      </c>
      <c r="F24" s="15">
        <v>0</v>
      </c>
      <c r="G24" s="15">
        <v>0</v>
      </c>
      <c r="H24" s="15">
        <v>0</v>
      </c>
      <c r="I24" s="15">
        <v>21152.17</v>
      </c>
      <c r="J24" s="15">
        <f t="shared" si="0"/>
        <v>69786.69</v>
      </c>
      <c r="K24" s="15">
        <f t="shared" si="5"/>
        <v>69786.69</v>
      </c>
      <c r="L24" s="15">
        <f>22394.09-0.05</f>
        <v>22394.04</v>
      </c>
      <c r="M24" s="15">
        <v>0</v>
      </c>
      <c r="N24" s="15">
        <v>0</v>
      </c>
      <c r="O24" s="15">
        <f>18525.06-0.59</f>
        <v>18524.47</v>
      </c>
      <c r="P24" s="15">
        <v>0</v>
      </c>
      <c r="Q24" s="15">
        <v>0</v>
      </c>
      <c r="R24" s="15">
        <f t="shared" si="1"/>
        <v>40918.51</v>
      </c>
      <c r="S24" s="15">
        <f t="shared" si="2"/>
        <v>40918.51</v>
      </c>
      <c r="T24" s="15">
        <f t="shared" si="6"/>
        <v>110705.20000000001</v>
      </c>
      <c r="U24" s="15">
        <f t="shared" si="3"/>
        <v>0</v>
      </c>
      <c r="V24" s="15">
        <f t="shared" si="4"/>
        <v>0</v>
      </c>
      <c r="W24" s="15">
        <f t="shared" si="7"/>
        <v>110705.20000000001</v>
      </c>
      <c r="X24" s="20"/>
    </row>
    <row r="25" spans="1:25" ht="39.75" customHeight="1">
      <c r="A25" s="8">
        <v>11</v>
      </c>
      <c r="B25" s="25" t="s">
        <v>13</v>
      </c>
      <c r="C25" s="6" t="s">
        <v>22</v>
      </c>
      <c r="D25" s="15">
        <v>16459.43</v>
      </c>
      <c r="E25" s="15">
        <v>12822.17</v>
      </c>
      <c r="F25" s="15">
        <v>0</v>
      </c>
      <c r="G25" s="15">
        <v>0</v>
      </c>
      <c r="H25" s="15">
        <v>0</v>
      </c>
      <c r="I25" s="15">
        <v>20868.62</v>
      </c>
      <c r="J25" s="15">
        <f t="shared" si="0"/>
        <v>50150.22</v>
      </c>
      <c r="K25" s="15">
        <f t="shared" si="5"/>
        <v>50150.22</v>
      </c>
      <c r="L25" s="15">
        <f>21912.46-1.04</f>
        <v>21911.42</v>
      </c>
      <c r="M25" s="15">
        <v>0</v>
      </c>
      <c r="N25" s="15">
        <v>0</v>
      </c>
      <c r="O25" s="15">
        <v>18126.64</v>
      </c>
      <c r="P25" s="15">
        <v>0</v>
      </c>
      <c r="Q25" s="15">
        <v>0</v>
      </c>
      <c r="R25" s="15">
        <f t="shared" si="1"/>
        <v>40038.06</v>
      </c>
      <c r="S25" s="15">
        <f t="shared" si="2"/>
        <v>40038.06</v>
      </c>
      <c r="T25" s="15">
        <f t="shared" si="6"/>
        <v>90188.28</v>
      </c>
      <c r="U25" s="15">
        <f t="shared" si="3"/>
        <v>0</v>
      </c>
      <c r="V25" s="15">
        <f t="shared" si="4"/>
        <v>0</v>
      </c>
      <c r="W25" s="15">
        <f t="shared" si="7"/>
        <v>90188.28</v>
      </c>
      <c r="X25" s="20"/>
      <c r="Y25" s="20"/>
    </row>
    <row r="26" spans="1:24" ht="39.75" customHeight="1">
      <c r="A26" s="8">
        <v>12</v>
      </c>
      <c r="B26" s="7" t="s">
        <v>8</v>
      </c>
      <c r="C26" s="5" t="s">
        <v>27</v>
      </c>
      <c r="D26" s="15">
        <v>43536.96</v>
      </c>
      <c r="E26" s="15">
        <v>50618.73</v>
      </c>
      <c r="F26" s="15">
        <v>0</v>
      </c>
      <c r="G26" s="15">
        <v>0</v>
      </c>
      <c r="H26" s="15">
        <v>0</v>
      </c>
      <c r="I26" s="15">
        <v>39280.38</v>
      </c>
      <c r="J26" s="15">
        <f t="shared" si="0"/>
        <v>133436.07</v>
      </c>
      <c r="K26" s="15">
        <f t="shared" si="5"/>
        <v>133436.07</v>
      </c>
      <c r="L26" s="15">
        <f>35026.63-2.23</f>
        <v>35024.399999999994</v>
      </c>
      <c r="M26" s="15">
        <v>0</v>
      </c>
      <c r="N26" s="15">
        <v>0</v>
      </c>
      <c r="O26" s="15">
        <f>30890.11-9.43</f>
        <v>30880.68</v>
      </c>
      <c r="P26" s="15">
        <v>0</v>
      </c>
      <c r="Q26" s="15">
        <v>0</v>
      </c>
      <c r="R26" s="15">
        <f t="shared" si="1"/>
        <v>65905.07999999999</v>
      </c>
      <c r="S26" s="15">
        <f t="shared" si="2"/>
        <v>65905.07999999999</v>
      </c>
      <c r="T26" s="15">
        <f t="shared" si="6"/>
        <v>199341.15</v>
      </c>
      <c r="U26" s="15">
        <f t="shared" si="3"/>
        <v>0</v>
      </c>
      <c r="V26" s="15">
        <f t="shared" si="4"/>
        <v>0</v>
      </c>
      <c r="W26" s="15">
        <f t="shared" si="7"/>
        <v>199341.15</v>
      </c>
      <c r="X26" s="20"/>
    </row>
    <row r="27" spans="1:24" ht="39.75" customHeight="1">
      <c r="A27" s="8">
        <v>13</v>
      </c>
      <c r="B27" s="26" t="s">
        <v>6</v>
      </c>
      <c r="C27" s="5" t="s">
        <v>36</v>
      </c>
      <c r="D27" s="15">
        <v>97319</v>
      </c>
      <c r="E27" s="15">
        <v>113144.37</v>
      </c>
      <c r="F27" s="15">
        <v>24705.63</v>
      </c>
      <c r="G27" s="15">
        <v>19834</v>
      </c>
      <c r="H27" s="15">
        <v>0</v>
      </c>
      <c r="I27" s="15">
        <v>88744</v>
      </c>
      <c r="J27" s="15">
        <f t="shared" si="0"/>
        <v>299207.37</v>
      </c>
      <c r="K27" s="15">
        <f t="shared" si="5"/>
        <v>343747</v>
      </c>
      <c r="L27" s="15">
        <f>79157.44-0.44</f>
        <v>79157</v>
      </c>
      <c r="M27" s="15">
        <v>39218.63</v>
      </c>
      <c r="N27" s="15">
        <v>0</v>
      </c>
      <c r="O27" s="15">
        <f>67396.45-1.08</f>
        <v>67395.37</v>
      </c>
      <c r="P27" s="15">
        <v>38706</v>
      </c>
      <c r="Q27" s="15">
        <v>0</v>
      </c>
      <c r="R27" s="15">
        <f t="shared" si="1"/>
        <v>146552.37</v>
      </c>
      <c r="S27" s="15">
        <f t="shared" si="2"/>
        <v>224477</v>
      </c>
      <c r="T27" s="15">
        <f t="shared" si="6"/>
        <v>445759.74</v>
      </c>
      <c r="U27" s="15">
        <f t="shared" si="3"/>
        <v>122464.26000000001</v>
      </c>
      <c r="V27" s="15">
        <f t="shared" si="4"/>
        <v>0</v>
      </c>
      <c r="W27" s="15">
        <f t="shared" si="7"/>
        <v>568224</v>
      </c>
      <c r="X27" s="20"/>
    </row>
    <row r="28" spans="1:24" ht="49.5" customHeight="1">
      <c r="A28" s="8">
        <v>14</v>
      </c>
      <c r="B28" s="7" t="s">
        <v>5</v>
      </c>
      <c r="C28" s="5" t="s">
        <v>32</v>
      </c>
      <c r="D28" s="15">
        <v>27155.55</v>
      </c>
      <c r="E28" s="15">
        <v>34095.75</v>
      </c>
      <c r="F28" s="15">
        <v>0</v>
      </c>
      <c r="G28" s="15">
        <v>0</v>
      </c>
      <c r="H28" s="15">
        <v>0</v>
      </c>
      <c r="I28" s="15">
        <v>25380.15</v>
      </c>
      <c r="J28" s="15">
        <f t="shared" si="0"/>
        <v>86631.45</v>
      </c>
      <c r="K28" s="15">
        <f t="shared" si="5"/>
        <v>86631.45</v>
      </c>
      <c r="L28" s="15">
        <f>22596.59-12.04</f>
        <v>22584.55</v>
      </c>
      <c r="M28" s="15">
        <v>0</v>
      </c>
      <c r="N28" s="15">
        <v>0</v>
      </c>
      <c r="O28" s="15">
        <f>20607.59-11.64</f>
        <v>20595.95</v>
      </c>
      <c r="P28" s="15">
        <v>0</v>
      </c>
      <c r="Q28" s="15">
        <v>0</v>
      </c>
      <c r="R28" s="15">
        <f t="shared" si="1"/>
        <v>43180.5</v>
      </c>
      <c r="S28" s="15">
        <f t="shared" si="2"/>
        <v>43180.5</v>
      </c>
      <c r="T28" s="15">
        <f t="shared" si="6"/>
        <v>129811.95</v>
      </c>
      <c r="U28" s="15">
        <f t="shared" si="3"/>
        <v>0</v>
      </c>
      <c r="V28" s="15">
        <f t="shared" si="4"/>
        <v>0</v>
      </c>
      <c r="W28" s="15">
        <f t="shared" si="7"/>
        <v>129811.95</v>
      </c>
      <c r="X28" s="20"/>
    </row>
    <row r="29" spans="1:24" ht="39.75" customHeight="1">
      <c r="A29" s="8">
        <v>15</v>
      </c>
      <c r="B29" s="12" t="s">
        <v>14</v>
      </c>
      <c r="C29" s="5" t="s">
        <v>29</v>
      </c>
      <c r="D29" s="15">
        <v>57456.08</v>
      </c>
      <c r="E29" s="15">
        <v>66789.44</v>
      </c>
      <c r="F29" s="15">
        <v>11275.56</v>
      </c>
      <c r="G29" s="15">
        <v>2495.92</v>
      </c>
      <c r="H29" s="15">
        <v>0</v>
      </c>
      <c r="I29" s="15">
        <v>52796.4</v>
      </c>
      <c r="J29" s="15">
        <f t="shared" si="0"/>
        <v>177041.91999999998</v>
      </c>
      <c r="K29" s="15">
        <f t="shared" si="5"/>
        <v>190813.4</v>
      </c>
      <c r="L29" s="15">
        <f>47161.84-6.72</f>
        <v>47155.119999999995</v>
      </c>
      <c r="M29" s="15">
        <v>2167.56</v>
      </c>
      <c r="N29" s="15">
        <v>0</v>
      </c>
      <c r="O29" s="15">
        <f>39013.7-1.26</f>
        <v>39012.439999999995</v>
      </c>
      <c r="P29" s="15">
        <v>3773.6</v>
      </c>
      <c r="Q29" s="15">
        <v>0</v>
      </c>
      <c r="R29" s="15">
        <f t="shared" si="1"/>
        <v>86167.56</v>
      </c>
      <c r="S29" s="15">
        <f t="shared" si="2"/>
        <v>92108.72</v>
      </c>
      <c r="T29" s="15">
        <f t="shared" si="6"/>
        <v>263209.48</v>
      </c>
      <c r="U29" s="15">
        <f t="shared" si="3"/>
        <v>19712.64</v>
      </c>
      <c r="V29" s="15">
        <f t="shared" si="4"/>
        <v>0</v>
      </c>
      <c r="W29" s="15">
        <f t="shared" si="7"/>
        <v>282922.12</v>
      </c>
      <c r="X29" s="20"/>
    </row>
    <row r="30" spans="1:25" ht="39.75" customHeight="1">
      <c r="A30" s="8">
        <v>16</v>
      </c>
      <c r="B30" s="12" t="s">
        <v>15</v>
      </c>
      <c r="C30" s="10" t="s">
        <v>31</v>
      </c>
      <c r="D30" s="15">
        <v>112026.3</v>
      </c>
      <c r="E30" s="15">
        <v>42636.42</v>
      </c>
      <c r="F30" s="15">
        <v>0</v>
      </c>
      <c r="G30" s="15">
        <v>177100.79</v>
      </c>
      <c r="H30" s="15">
        <v>0</v>
      </c>
      <c r="I30" s="15">
        <v>54846.49</v>
      </c>
      <c r="J30" s="15">
        <f t="shared" si="0"/>
        <v>209509.21000000002</v>
      </c>
      <c r="K30" s="15">
        <f t="shared" si="5"/>
        <v>386610</v>
      </c>
      <c r="L30" s="15">
        <f>132381.36-1.76</f>
        <v>132379.59999999998</v>
      </c>
      <c r="M30" s="15">
        <v>0</v>
      </c>
      <c r="N30" s="15">
        <v>0</v>
      </c>
      <c r="O30" s="15">
        <f>242096.29-3.29</f>
        <v>242093</v>
      </c>
      <c r="P30" s="15">
        <v>0</v>
      </c>
      <c r="Q30" s="15">
        <v>0</v>
      </c>
      <c r="R30" s="15">
        <f t="shared" si="1"/>
        <v>374472.6</v>
      </c>
      <c r="S30" s="15">
        <f t="shared" si="2"/>
        <v>374472.6</v>
      </c>
      <c r="T30" s="15">
        <f t="shared" si="6"/>
        <v>583981.81</v>
      </c>
      <c r="U30" s="15">
        <f t="shared" si="3"/>
        <v>177100.79</v>
      </c>
      <c r="V30" s="15">
        <f t="shared" si="4"/>
        <v>0</v>
      </c>
      <c r="W30" s="15">
        <f t="shared" si="7"/>
        <v>761082.6000000001</v>
      </c>
      <c r="X30" s="20"/>
      <c r="Y30" s="20"/>
    </row>
    <row r="31" spans="1:25" ht="39.75" customHeight="1">
      <c r="A31" s="8">
        <v>17</v>
      </c>
      <c r="B31" s="12" t="s">
        <v>50</v>
      </c>
      <c r="C31" s="10" t="s">
        <v>25</v>
      </c>
      <c r="D31" s="15">
        <v>13396.2</v>
      </c>
      <c r="E31" s="15">
        <v>16825.95</v>
      </c>
      <c r="F31" s="15">
        <v>0</v>
      </c>
      <c r="G31" s="15">
        <v>0</v>
      </c>
      <c r="H31" s="15">
        <v>0</v>
      </c>
      <c r="I31" s="15">
        <v>19166.25</v>
      </c>
      <c r="J31" s="15">
        <f t="shared" si="0"/>
        <v>49388.399999999994</v>
      </c>
      <c r="K31" s="15">
        <f t="shared" si="5"/>
        <v>49388.399999999994</v>
      </c>
      <c r="L31" s="15">
        <f>89269.36-1.66</f>
        <v>89267.7</v>
      </c>
      <c r="M31" s="15">
        <v>0</v>
      </c>
      <c r="N31" s="15">
        <v>0</v>
      </c>
      <c r="O31" s="15">
        <f>74223.85-1.5</f>
        <v>74222.35</v>
      </c>
      <c r="P31" s="15">
        <v>0</v>
      </c>
      <c r="Q31" s="15">
        <v>0</v>
      </c>
      <c r="R31" s="15">
        <f t="shared" si="1"/>
        <v>163490.05</v>
      </c>
      <c r="S31" s="15">
        <f t="shared" si="2"/>
        <v>163490.05</v>
      </c>
      <c r="T31" s="15">
        <f t="shared" si="6"/>
        <v>212878.44999999998</v>
      </c>
      <c r="U31" s="15">
        <f t="shared" si="3"/>
        <v>0</v>
      </c>
      <c r="V31" s="15">
        <f t="shared" si="4"/>
        <v>0</v>
      </c>
      <c r="W31" s="15">
        <f t="shared" si="7"/>
        <v>212878.44999999998</v>
      </c>
      <c r="X31" s="20"/>
      <c r="Y31" s="20"/>
    </row>
    <row r="32" spans="1:25" ht="39.75" customHeight="1">
      <c r="A32" s="8">
        <v>18</v>
      </c>
      <c r="B32" s="27" t="s">
        <v>12</v>
      </c>
      <c r="C32" s="6" t="s">
        <v>24</v>
      </c>
      <c r="D32" s="15">
        <v>42029.71</v>
      </c>
      <c r="E32" s="15">
        <v>47716.73</v>
      </c>
      <c r="F32" s="15">
        <v>0</v>
      </c>
      <c r="G32" s="15">
        <v>0</v>
      </c>
      <c r="H32" s="15">
        <v>0</v>
      </c>
      <c r="I32" s="15">
        <v>47808.72</v>
      </c>
      <c r="J32" s="15">
        <f t="shared" si="0"/>
        <v>137555.16</v>
      </c>
      <c r="K32" s="15">
        <f t="shared" si="5"/>
        <v>137555.16</v>
      </c>
      <c r="L32" s="15">
        <f>71148.82-0.01</f>
        <v>71148.81000000001</v>
      </c>
      <c r="M32" s="15">
        <v>0</v>
      </c>
      <c r="N32" s="15">
        <v>0</v>
      </c>
      <c r="O32" s="15">
        <f>63959.83-0.02</f>
        <v>63959.810000000005</v>
      </c>
      <c r="P32" s="15">
        <v>0</v>
      </c>
      <c r="Q32" s="15">
        <v>0</v>
      </c>
      <c r="R32" s="15">
        <f t="shared" si="1"/>
        <v>135108.62000000002</v>
      </c>
      <c r="S32" s="15">
        <f t="shared" si="2"/>
        <v>135108.62000000002</v>
      </c>
      <c r="T32" s="15">
        <f t="shared" si="6"/>
        <v>272663.78</v>
      </c>
      <c r="U32" s="15">
        <f t="shared" si="3"/>
        <v>0</v>
      </c>
      <c r="V32" s="15">
        <f t="shared" si="4"/>
        <v>0</v>
      </c>
      <c r="W32" s="15">
        <f t="shared" si="7"/>
        <v>272663.78</v>
      </c>
      <c r="X32" s="20"/>
      <c r="Y32" s="20"/>
    </row>
    <row r="33" spans="1:25" ht="39.75" customHeight="1">
      <c r="A33" s="8">
        <v>19</v>
      </c>
      <c r="B33" s="27" t="s">
        <v>11</v>
      </c>
      <c r="C33" s="6" t="s">
        <v>26</v>
      </c>
      <c r="D33" s="15">
        <v>16175.14</v>
      </c>
      <c r="E33" s="15">
        <v>21692.04</v>
      </c>
      <c r="F33" s="15">
        <v>0</v>
      </c>
      <c r="G33" s="15">
        <v>0</v>
      </c>
      <c r="H33" s="15">
        <v>0</v>
      </c>
      <c r="I33" s="15">
        <v>16274.6</v>
      </c>
      <c r="J33" s="15">
        <f t="shared" si="0"/>
        <v>54141.78</v>
      </c>
      <c r="K33" s="15">
        <f t="shared" si="5"/>
        <v>54141.78</v>
      </c>
      <c r="L33" s="15">
        <f>22282.86-0.9</f>
        <v>22281.96</v>
      </c>
      <c r="M33" s="15">
        <v>0</v>
      </c>
      <c r="N33" s="15">
        <v>0</v>
      </c>
      <c r="O33" s="15">
        <f>16307.49-0.77</f>
        <v>16306.72</v>
      </c>
      <c r="P33" s="15">
        <v>0</v>
      </c>
      <c r="Q33" s="15">
        <v>0</v>
      </c>
      <c r="R33" s="15">
        <f t="shared" si="1"/>
        <v>38588.68</v>
      </c>
      <c r="S33" s="15">
        <f t="shared" si="2"/>
        <v>38588.68</v>
      </c>
      <c r="T33" s="15">
        <f t="shared" si="6"/>
        <v>92730.45999999999</v>
      </c>
      <c r="U33" s="15">
        <f t="shared" si="3"/>
        <v>0</v>
      </c>
      <c r="V33" s="15">
        <f t="shared" si="4"/>
        <v>0</v>
      </c>
      <c r="W33" s="15">
        <f t="shared" si="7"/>
        <v>92730.45999999999</v>
      </c>
      <c r="X33" s="20"/>
      <c r="Y33" s="20"/>
    </row>
    <row r="34" spans="1:25" ht="39.75" customHeight="1">
      <c r="A34" s="8">
        <v>20</v>
      </c>
      <c r="B34" s="27" t="s">
        <v>9</v>
      </c>
      <c r="C34" s="6" t="s">
        <v>23</v>
      </c>
      <c r="D34" s="15">
        <v>216074.48</v>
      </c>
      <c r="E34" s="15">
        <v>256089.33</v>
      </c>
      <c r="F34" s="15">
        <v>0</v>
      </c>
      <c r="G34" s="15">
        <v>0</v>
      </c>
      <c r="H34" s="15">
        <v>0</v>
      </c>
      <c r="I34" s="15">
        <v>220228.76</v>
      </c>
      <c r="J34" s="15">
        <f t="shared" si="0"/>
        <v>692392.57</v>
      </c>
      <c r="K34" s="15">
        <f t="shared" si="5"/>
        <v>692392.57</v>
      </c>
      <c r="L34" s="15">
        <f>199692.72-1.56</f>
        <v>199691.16</v>
      </c>
      <c r="M34" s="15">
        <v>35533.34</v>
      </c>
      <c r="N34" s="15">
        <v>0</v>
      </c>
      <c r="O34" s="15">
        <f>169021.88-0.22</f>
        <v>169021.66</v>
      </c>
      <c r="P34" s="15">
        <v>45296.74</v>
      </c>
      <c r="Q34" s="15">
        <v>0</v>
      </c>
      <c r="R34" s="15">
        <f t="shared" si="1"/>
        <v>368712.82</v>
      </c>
      <c r="S34" s="15">
        <f t="shared" si="2"/>
        <v>449542.9</v>
      </c>
      <c r="T34" s="15">
        <f t="shared" si="6"/>
        <v>1061105.39</v>
      </c>
      <c r="U34" s="15">
        <f t="shared" si="3"/>
        <v>80830.07999999999</v>
      </c>
      <c r="V34" s="15">
        <f t="shared" si="4"/>
        <v>0</v>
      </c>
      <c r="W34" s="15">
        <f t="shared" si="7"/>
        <v>1141935.47</v>
      </c>
      <c r="X34" s="20"/>
      <c r="Y34" s="20"/>
    </row>
    <row r="35" spans="1:25" ht="39.75" customHeight="1">
      <c r="A35" s="8">
        <v>21</v>
      </c>
      <c r="B35" s="28" t="s">
        <v>10</v>
      </c>
      <c r="C35" s="6" t="s">
        <v>21</v>
      </c>
      <c r="D35" s="15">
        <v>37530.32</v>
      </c>
      <c r="E35" s="15">
        <v>41278.08</v>
      </c>
      <c r="F35" s="15">
        <v>0</v>
      </c>
      <c r="G35" s="15">
        <v>0</v>
      </c>
      <c r="H35" s="15">
        <v>0</v>
      </c>
      <c r="I35" s="15">
        <v>40590.7</v>
      </c>
      <c r="J35" s="15">
        <f t="shared" si="0"/>
        <v>119399.1</v>
      </c>
      <c r="K35" s="15">
        <f t="shared" si="5"/>
        <v>119399.1</v>
      </c>
      <c r="L35" s="15">
        <f>42428.97-1.5</f>
        <v>42427.47</v>
      </c>
      <c r="M35" s="15">
        <v>0</v>
      </c>
      <c r="N35" s="15">
        <v>0</v>
      </c>
      <c r="O35" s="15">
        <f>35252.19-4.08</f>
        <v>35248.11</v>
      </c>
      <c r="P35" s="15">
        <v>1603.6</v>
      </c>
      <c r="Q35" s="15">
        <v>40.35</v>
      </c>
      <c r="R35" s="15">
        <f t="shared" si="1"/>
        <v>77675.58</v>
      </c>
      <c r="S35" s="15">
        <f t="shared" si="2"/>
        <v>79319.53000000001</v>
      </c>
      <c r="T35" s="15">
        <f t="shared" si="6"/>
        <v>197074.68</v>
      </c>
      <c r="U35" s="15">
        <f t="shared" si="3"/>
        <v>1603.6</v>
      </c>
      <c r="V35" s="15">
        <f t="shared" si="4"/>
        <v>40.35</v>
      </c>
      <c r="W35" s="15">
        <f t="shared" si="7"/>
        <v>198718.63</v>
      </c>
      <c r="X35" s="20"/>
      <c r="Y35" s="20"/>
    </row>
    <row r="36" spans="1:24" ht="51" customHeight="1">
      <c r="A36" s="8">
        <v>22</v>
      </c>
      <c r="B36" s="10" t="s">
        <v>80</v>
      </c>
      <c r="C36" s="6" t="s">
        <v>43</v>
      </c>
      <c r="D36" s="15">
        <v>29132.7</v>
      </c>
      <c r="E36" s="15">
        <v>33571.2</v>
      </c>
      <c r="F36" s="15">
        <v>0</v>
      </c>
      <c r="G36" s="15">
        <v>0</v>
      </c>
      <c r="H36" s="15">
        <v>0</v>
      </c>
      <c r="I36" s="15">
        <v>26953.8</v>
      </c>
      <c r="J36" s="15">
        <f t="shared" si="0"/>
        <v>89657.7</v>
      </c>
      <c r="K36" s="15">
        <f t="shared" si="5"/>
        <v>89657.7</v>
      </c>
      <c r="L36" s="15">
        <f>23914.61-27.41</f>
        <v>23887.2</v>
      </c>
      <c r="M36" s="15">
        <v>0</v>
      </c>
      <c r="N36" s="15">
        <v>0</v>
      </c>
      <c r="O36" s="15">
        <f>16594.53-10.68</f>
        <v>16583.85</v>
      </c>
      <c r="P36" s="15">
        <v>0</v>
      </c>
      <c r="Q36" s="15">
        <v>0</v>
      </c>
      <c r="R36" s="15">
        <f t="shared" si="1"/>
        <v>40471.05</v>
      </c>
      <c r="S36" s="15">
        <f t="shared" si="2"/>
        <v>40471.05</v>
      </c>
      <c r="T36" s="15">
        <f t="shared" si="6"/>
        <v>130128.75</v>
      </c>
      <c r="U36" s="15">
        <f t="shared" si="3"/>
        <v>0</v>
      </c>
      <c r="V36" s="15">
        <f t="shared" si="4"/>
        <v>0</v>
      </c>
      <c r="W36" s="15">
        <f t="shared" si="7"/>
        <v>130128.75</v>
      </c>
      <c r="X36" s="20"/>
    </row>
    <row r="37" spans="1:24" ht="50.25" customHeight="1">
      <c r="A37" s="8">
        <v>22</v>
      </c>
      <c r="B37" s="31" t="s">
        <v>81</v>
      </c>
      <c r="C37" s="6" t="s">
        <v>43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f t="shared" si="0"/>
        <v>0</v>
      </c>
      <c r="K37" s="15">
        <f t="shared" si="5"/>
        <v>0</v>
      </c>
      <c r="L37" s="15">
        <v>0</v>
      </c>
      <c r="M37" s="15">
        <v>0</v>
      </c>
      <c r="N37" s="15">
        <v>0</v>
      </c>
      <c r="O37" s="15">
        <f>11584.37-3.92</f>
        <v>11580.45</v>
      </c>
      <c r="P37" s="15">
        <v>0</v>
      </c>
      <c r="Q37" s="15">
        <v>0</v>
      </c>
      <c r="R37" s="15">
        <f t="shared" si="1"/>
        <v>11580.45</v>
      </c>
      <c r="S37" s="15">
        <f t="shared" si="2"/>
        <v>11580.45</v>
      </c>
      <c r="T37" s="15">
        <f>J37+R37</f>
        <v>11580.45</v>
      </c>
      <c r="U37" s="15">
        <f t="shared" si="3"/>
        <v>0</v>
      </c>
      <c r="V37" s="15">
        <f t="shared" si="4"/>
        <v>0</v>
      </c>
      <c r="W37" s="15">
        <f>T37+U37+V37</f>
        <v>11580.45</v>
      </c>
      <c r="X37" s="20"/>
    </row>
    <row r="38" spans="1:24" ht="39.75" customHeight="1">
      <c r="A38" s="8">
        <v>23</v>
      </c>
      <c r="B38" s="29" t="s">
        <v>42</v>
      </c>
      <c r="C38" s="6" t="s">
        <v>44</v>
      </c>
      <c r="D38" s="15">
        <v>171344.54</v>
      </c>
      <c r="E38" s="15">
        <v>201740.02</v>
      </c>
      <c r="F38" s="15">
        <v>78352.94</v>
      </c>
      <c r="G38" s="15">
        <v>127761.2</v>
      </c>
      <c r="H38" s="15">
        <v>0</v>
      </c>
      <c r="I38" s="15">
        <v>158872.52</v>
      </c>
      <c r="J38" s="15">
        <f t="shared" si="0"/>
        <v>531957.08</v>
      </c>
      <c r="K38" s="15">
        <f t="shared" si="5"/>
        <v>738071.22</v>
      </c>
      <c r="L38" s="15">
        <f>141916.06-0.04</f>
        <v>141916.02</v>
      </c>
      <c r="M38" s="15">
        <v>124914.34</v>
      </c>
      <c r="N38" s="15">
        <v>0</v>
      </c>
      <c r="O38" s="15">
        <v>119403.06999999998</v>
      </c>
      <c r="P38" s="15">
        <v>145756.53</v>
      </c>
      <c r="Q38" s="15">
        <v>0</v>
      </c>
      <c r="R38" s="15">
        <f t="shared" si="1"/>
        <v>261319.08999999997</v>
      </c>
      <c r="S38" s="15">
        <f t="shared" si="2"/>
        <v>531989.96</v>
      </c>
      <c r="T38" s="15">
        <f t="shared" si="6"/>
        <v>793276.1699999999</v>
      </c>
      <c r="U38" s="15">
        <f t="shared" si="3"/>
        <v>476785.01</v>
      </c>
      <c r="V38" s="15">
        <f t="shared" si="4"/>
        <v>0</v>
      </c>
      <c r="W38" s="15">
        <f t="shared" si="7"/>
        <v>1270061.18</v>
      </c>
      <c r="X38" s="20"/>
    </row>
    <row r="39" spans="1:24" ht="39.75" customHeight="1">
      <c r="A39" s="30">
        <v>24</v>
      </c>
      <c r="B39" s="31" t="s">
        <v>52</v>
      </c>
      <c r="C39" s="6" t="s">
        <v>55</v>
      </c>
      <c r="D39" s="15">
        <v>71163.5</v>
      </c>
      <c r="E39" s="15">
        <v>82722.38</v>
      </c>
      <c r="F39" s="15">
        <v>33314.12</v>
      </c>
      <c r="G39" s="15">
        <v>27805.5</v>
      </c>
      <c r="H39" s="15">
        <v>0</v>
      </c>
      <c r="I39" s="15">
        <v>75991.5</v>
      </c>
      <c r="J39" s="15">
        <f t="shared" si="0"/>
        <v>229877.38</v>
      </c>
      <c r="K39" s="15">
        <f t="shared" si="5"/>
        <v>290997</v>
      </c>
      <c r="L39" s="15">
        <f>69498.16-0.16</f>
        <v>69498</v>
      </c>
      <c r="M39" s="15">
        <v>55221.62</v>
      </c>
      <c r="N39" s="15">
        <v>0</v>
      </c>
      <c r="O39" s="15">
        <f>59405.98-0.6</f>
        <v>59405.380000000005</v>
      </c>
      <c r="P39" s="15">
        <v>42595.5</v>
      </c>
      <c r="Q39" s="15">
        <v>0</v>
      </c>
      <c r="R39" s="15">
        <f t="shared" si="1"/>
        <v>128903.38</v>
      </c>
      <c r="S39" s="15">
        <f t="shared" si="2"/>
        <v>226720.5</v>
      </c>
      <c r="T39" s="15">
        <f t="shared" si="6"/>
        <v>358780.76</v>
      </c>
      <c r="U39" s="15">
        <f t="shared" si="3"/>
        <v>158936.74</v>
      </c>
      <c r="V39" s="15">
        <f t="shared" si="4"/>
        <v>0</v>
      </c>
      <c r="W39" s="15">
        <f t="shared" si="7"/>
        <v>517717.5</v>
      </c>
      <c r="X39" s="20"/>
    </row>
    <row r="40" spans="1:24" ht="39.75" customHeight="1">
      <c r="A40" s="30">
        <v>25</v>
      </c>
      <c r="B40" s="31" t="s">
        <v>53</v>
      </c>
      <c r="C40" s="6" t="s">
        <v>56</v>
      </c>
      <c r="D40" s="15">
        <v>33754.64</v>
      </c>
      <c r="E40" s="15">
        <v>41671.04</v>
      </c>
      <c r="F40" s="15">
        <v>0</v>
      </c>
      <c r="G40" s="15">
        <v>0</v>
      </c>
      <c r="H40" s="15">
        <v>0</v>
      </c>
      <c r="I40" s="15">
        <v>28553.4</v>
      </c>
      <c r="J40" s="15">
        <f t="shared" si="0"/>
        <v>103979.08</v>
      </c>
      <c r="K40" s="15">
        <f t="shared" si="5"/>
        <v>103979.08</v>
      </c>
      <c r="L40" s="15">
        <f>33035.54-1.06</f>
        <v>33034.48</v>
      </c>
      <c r="M40" s="15">
        <v>0</v>
      </c>
      <c r="N40" s="15">
        <v>0</v>
      </c>
      <c r="O40" s="15">
        <f>27327.99-3.07</f>
        <v>27324.920000000002</v>
      </c>
      <c r="P40" s="15">
        <v>0</v>
      </c>
      <c r="Q40" s="15">
        <v>0</v>
      </c>
      <c r="R40" s="15">
        <f t="shared" si="1"/>
        <v>60359.40000000001</v>
      </c>
      <c r="S40" s="15">
        <f t="shared" si="2"/>
        <v>60359.40000000001</v>
      </c>
      <c r="T40" s="15">
        <f t="shared" si="6"/>
        <v>164338.48</v>
      </c>
      <c r="U40" s="15">
        <f t="shared" si="3"/>
        <v>0</v>
      </c>
      <c r="V40" s="15">
        <f t="shared" si="4"/>
        <v>0</v>
      </c>
      <c r="W40" s="15">
        <f t="shared" si="7"/>
        <v>164338.48</v>
      </c>
      <c r="X40" s="20"/>
    </row>
    <row r="41" spans="1:24" ht="39.75" customHeight="1">
      <c r="A41" s="30">
        <v>26</v>
      </c>
      <c r="B41" s="31" t="s">
        <v>54</v>
      </c>
      <c r="C41" s="6" t="s">
        <v>57</v>
      </c>
      <c r="D41" s="15">
        <v>67348.8</v>
      </c>
      <c r="E41" s="15">
        <v>78290.4</v>
      </c>
      <c r="F41" s="15">
        <v>98843.4</v>
      </c>
      <c r="G41" s="15">
        <v>195732.08</v>
      </c>
      <c r="H41" s="15">
        <v>0</v>
      </c>
      <c r="I41" s="15">
        <v>61890.92</v>
      </c>
      <c r="J41" s="15">
        <f t="shared" si="0"/>
        <v>207530.12</v>
      </c>
      <c r="K41" s="15">
        <f t="shared" si="5"/>
        <v>502105.6</v>
      </c>
      <c r="L41" s="15">
        <f>105185.46-0.14</f>
        <v>105185.32</v>
      </c>
      <c r="M41" s="15">
        <v>318227.48</v>
      </c>
      <c r="N41" s="15">
        <v>0</v>
      </c>
      <c r="O41" s="15">
        <f>200121.65-1.05</f>
        <v>200120.6</v>
      </c>
      <c r="P41" s="15">
        <v>348986.6</v>
      </c>
      <c r="Q41" s="15">
        <v>0</v>
      </c>
      <c r="R41" s="15">
        <f t="shared" si="1"/>
        <v>305305.92000000004</v>
      </c>
      <c r="S41" s="15">
        <f t="shared" si="2"/>
        <v>972520</v>
      </c>
      <c r="T41" s="15">
        <f t="shared" si="6"/>
        <v>512836.04000000004</v>
      </c>
      <c r="U41" s="15">
        <f t="shared" si="3"/>
        <v>961789.5599999999</v>
      </c>
      <c r="V41" s="15">
        <f t="shared" si="4"/>
        <v>0</v>
      </c>
      <c r="W41" s="15">
        <f t="shared" si="7"/>
        <v>1474625.6</v>
      </c>
      <c r="X41" s="20"/>
    </row>
    <row r="42" spans="1:24" ht="39.75" customHeight="1">
      <c r="A42" s="32">
        <v>27</v>
      </c>
      <c r="B42" s="35" t="s">
        <v>82</v>
      </c>
      <c r="C42" s="6" t="s">
        <v>83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f t="shared" si="0"/>
        <v>0</v>
      </c>
      <c r="K42" s="15">
        <f t="shared" si="5"/>
        <v>0</v>
      </c>
      <c r="L42" s="15">
        <v>0</v>
      </c>
      <c r="M42" s="15">
        <v>0</v>
      </c>
      <c r="N42" s="15">
        <v>0</v>
      </c>
      <c r="O42" s="15">
        <f>11265.53-3.61</f>
        <v>11261.92</v>
      </c>
      <c r="P42" s="15">
        <v>0</v>
      </c>
      <c r="Q42" s="15">
        <v>0</v>
      </c>
      <c r="R42" s="15">
        <f t="shared" si="1"/>
        <v>11261.92</v>
      </c>
      <c r="S42" s="15">
        <f t="shared" si="2"/>
        <v>11261.92</v>
      </c>
      <c r="T42" s="15">
        <f t="shared" si="6"/>
        <v>11261.92</v>
      </c>
      <c r="U42" s="15">
        <f t="shared" si="3"/>
        <v>0</v>
      </c>
      <c r="V42" s="15">
        <f t="shared" si="4"/>
        <v>0</v>
      </c>
      <c r="W42" s="15">
        <f t="shared" si="7"/>
        <v>11261.92</v>
      </c>
      <c r="X42" s="20"/>
    </row>
    <row r="43" spans="1:28" ht="41.25" customHeight="1">
      <c r="A43" s="36"/>
      <c r="B43" s="37" t="s">
        <v>2</v>
      </c>
      <c r="C43" s="38"/>
      <c r="D43" s="39">
        <f>SUM(D11:D42)</f>
        <v>2222181.55</v>
      </c>
      <c r="E43" s="39">
        <f aca="true" t="shared" si="8" ref="E43:W43">SUM(E11:E42)</f>
        <v>2510550.69</v>
      </c>
      <c r="F43" s="39">
        <f t="shared" si="8"/>
        <v>1185687.5600000003</v>
      </c>
      <c r="G43" s="39">
        <f t="shared" si="8"/>
        <v>1818508.6300000001</v>
      </c>
      <c r="H43" s="39">
        <f t="shared" si="8"/>
        <v>889.5</v>
      </c>
      <c r="I43" s="39">
        <f t="shared" si="8"/>
        <v>2046317.4299999997</v>
      </c>
      <c r="J43" s="39">
        <f t="shared" si="8"/>
        <v>6779049.670000002</v>
      </c>
      <c r="K43" s="39">
        <f t="shared" si="8"/>
        <v>9784135.360000003</v>
      </c>
      <c r="L43" s="39">
        <f t="shared" si="8"/>
        <v>2105887.4</v>
      </c>
      <c r="M43" s="39">
        <f t="shared" si="8"/>
        <v>2035904.0500000003</v>
      </c>
      <c r="N43" s="39">
        <f t="shared" si="8"/>
        <v>313.08</v>
      </c>
      <c r="O43" s="39">
        <f t="shared" si="8"/>
        <v>2105906.6000000006</v>
      </c>
      <c r="P43" s="39">
        <f t="shared" si="8"/>
        <v>2297891.1799999997</v>
      </c>
      <c r="Q43" s="39">
        <f t="shared" si="8"/>
        <v>736.95</v>
      </c>
      <c r="R43" s="39">
        <f t="shared" si="8"/>
        <v>4211794</v>
      </c>
      <c r="S43" s="39">
        <f t="shared" si="8"/>
        <v>8546639.26</v>
      </c>
      <c r="T43" s="39">
        <f t="shared" si="8"/>
        <v>10990843.67</v>
      </c>
      <c r="U43" s="39">
        <f t="shared" si="8"/>
        <v>7337991.419999998</v>
      </c>
      <c r="V43" s="39">
        <f t="shared" si="8"/>
        <v>1939.5299999999997</v>
      </c>
      <c r="W43" s="39">
        <f t="shared" si="8"/>
        <v>18330774.62</v>
      </c>
      <c r="X43" s="20"/>
      <c r="Y43" s="20"/>
      <c r="Z43" s="20"/>
      <c r="AA43" s="20"/>
      <c r="AB43" s="20"/>
    </row>
    <row r="44" spans="1:28" ht="41.25" customHeight="1">
      <c r="A44" s="46"/>
      <c r="B44" s="14"/>
      <c r="C44" s="1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0"/>
      <c r="Y44" s="20"/>
      <c r="Z44" s="20"/>
      <c r="AA44" s="20"/>
      <c r="AB44" s="20"/>
    </row>
    <row r="45" spans="2:22" ht="30" customHeight="1">
      <c r="B45" s="4" t="s">
        <v>17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3" ht="90" customHeight="1">
      <c r="A46" s="41" t="s">
        <v>0</v>
      </c>
      <c r="B46" s="42" t="s">
        <v>1</v>
      </c>
      <c r="C46" s="34" t="s">
        <v>20</v>
      </c>
      <c r="D46" s="18" t="s">
        <v>64</v>
      </c>
      <c r="E46" s="18" t="s">
        <v>68</v>
      </c>
      <c r="F46" s="18" t="s">
        <v>62</v>
      </c>
      <c r="G46" s="18" t="s">
        <v>65</v>
      </c>
      <c r="H46" s="18" t="s">
        <v>66</v>
      </c>
      <c r="I46" s="18" t="s">
        <v>84</v>
      </c>
      <c r="J46" s="18" t="s">
        <v>71</v>
      </c>
      <c r="K46" s="18" t="s">
        <v>73</v>
      </c>
      <c r="L46" s="18" t="s">
        <v>69</v>
      </c>
      <c r="M46" s="18" t="s">
        <v>76</v>
      </c>
      <c r="N46" s="18" t="s">
        <v>77</v>
      </c>
      <c r="O46" s="18" t="s">
        <v>78</v>
      </c>
      <c r="P46" s="18" t="s">
        <v>85</v>
      </c>
      <c r="Q46" s="18" t="s">
        <v>86</v>
      </c>
      <c r="R46" s="18" t="s">
        <v>72</v>
      </c>
      <c r="S46" s="18" t="s">
        <v>74</v>
      </c>
      <c r="T46" s="18" t="s">
        <v>70</v>
      </c>
      <c r="U46" s="18" t="s">
        <v>63</v>
      </c>
      <c r="V46" s="18" t="s">
        <v>67</v>
      </c>
      <c r="W46" s="18" t="s">
        <v>75</v>
      </c>
    </row>
    <row r="47" spans="1:25" ht="40.5" customHeight="1">
      <c r="A47" s="22">
        <v>1</v>
      </c>
      <c r="B47" s="23" t="s">
        <v>16</v>
      </c>
      <c r="C47" s="6" t="s">
        <v>25</v>
      </c>
      <c r="D47" s="15">
        <v>38784</v>
      </c>
      <c r="E47" s="15">
        <v>47874</v>
      </c>
      <c r="F47" s="15">
        <v>0</v>
      </c>
      <c r="G47" s="15">
        <v>0</v>
      </c>
      <c r="H47" s="15">
        <v>0</v>
      </c>
      <c r="I47" s="15">
        <v>46662</v>
      </c>
      <c r="J47" s="15">
        <f>I47+E47+D47</f>
        <v>133320</v>
      </c>
      <c r="K47" s="15">
        <f>J47+F47+G47+H47</f>
        <v>133320</v>
      </c>
      <c r="L47" s="15">
        <f>43200-174</f>
        <v>43026</v>
      </c>
      <c r="M47" s="15">
        <v>0</v>
      </c>
      <c r="N47" s="15">
        <v>0</v>
      </c>
      <c r="O47" s="15">
        <f>43200-174</f>
        <v>43026</v>
      </c>
      <c r="P47" s="15">
        <v>0</v>
      </c>
      <c r="Q47" s="15">
        <v>0</v>
      </c>
      <c r="R47" s="15">
        <f>L47+O47</f>
        <v>86052</v>
      </c>
      <c r="S47" s="15">
        <f>R47+M47+N47+P47+Q47</f>
        <v>86052</v>
      </c>
      <c r="T47" s="15">
        <f>J47+R47</f>
        <v>219372</v>
      </c>
      <c r="U47" s="15">
        <f>F47+G47+M47+P47</f>
        <v>0</v>
      </c>
      <c r="V47" s="15">
        <f>H47+N47+Q47</f>
        <v>0</v>
      </c>
      <c r="W47" s="15">
        <f>T47+U47+V47</f>
        <v>219372</v>
      </c>
      <c r="Y47" s="20"/>
    </row>
    <row r="48" spans="1:28" ht="42.75" customHeight="1">
      <c r="A48" s="43"/>
      <c r="B48" s="44" t="s">
        <v>2</v>
      </c>
      <c r="C48" s="38"/>
      <c r="D48" s="39">
        <f aca="true" t="shared" si="9" ref="D48:W48">D47</f>
        <v>38784</v>
      </c>
      <c r="E48" s="39">
        <f t="shared" si="9"/>
        <v>47874</v>
      </c>
      <c r="F48" s="39">
        <f t="shared" si="9"/>
        <v>0</v>
      </c>
      <c r="G48" s="39">
        <f t="shared" si="9"/>
        <v>0</v>
      </c>
      <c r="H48" s="39">
        <f t="shared" si="9"/>
        <v>0</v>
      </c>
      <c r="I48" s="39">
        <f t="shared" si="9"/>
        <v>46662</v>
      </c>
      <c r="J48" s="39">
        <f t="shared" si="9"/>
        <v>133320</v>
      </c>
      <c r="K48" s="39">
        <f t="shared" si="9"/>
        <v>133320</v>
      </c>
      <c r="L48" s="39">
        <f t="shared" si="9"/>
        <v>43026</v>
      </c>
      <c r="M48" s="39">
        <f t="shared" si="9"/>
        <v>0</v>
      </c>
      <c r="N48" s="39">
        <f t="shared" si="9"/>
        <v>0</v>
      </c>
      <c r="O48" s="39">
        <f t="shared" si="9"/>
        <v>43026</v>
      </c>
      <c r="P48" s="39">
        <f t="shared" si="9"/>
        <v>0</v>
      </c>
      <c r="Q48" s="39">
        <f t="shared" si="9"/>
        <v>0</v>
      </c>
      <c r="R48" s="39">
        <f t="shared" si="9"/>
        <v>86052</v>
      </c>
      <c r="S48" s="39">
        <f t="shared" si="9"/>
        <v>86052</v>
      </c>
      <c r="T48" s="39">
        <f t="shared" si="9"/>
        <v>219372</v>
      </c>
      <c r="U48" s="39">
        <f t="shared" si="9"/>
        <v>0</v>
      </c>
      <c r="V48" s="39">
        <f t="shared" si="9"/>
        <v>0</v>
      </c>
      <c r="W48" s="39">
        <f t="shared" si="9"/>
        <v>219372</v>
      </c>
      <c r="X48" s="20"/>
      <c r="Y48" s="20"/>
      <c r="AB48" s="20"/>
    </row>
    <row r="49" spans="2:22" ht="26.2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8" ht="26.25" customHeight="1">
      <c r="A50" s="45" t="s">
        <v>2</v>
      </c>
      <c r="B50" s="45"/>
      <c r="C50" s="45"/>
      <c r="D50" s="39">
        <f>D48+D43</f>
        <v>2260965.55</v>
      </c>
      <c r="E50" s="39">
        <f>E48+E43</f>
        <v>2558424.69</v>
      </c>
      <c r="F50" s="39">
        <f>F48+F43</f>
        <v>1185687.5600000003</v>
      </c>
      <c r="G50" s="39">
        <f>G48+G43</f>
        <v>1818508.6300000001</v>
      </c>
      <c r="H50" s="39">
        <f>H48+H43</f>
        <v>889.5</v>
      </c>
      <c r="I50" s="39">
        <f>I48+I43</f>
        <v>2092979.4299999997</v>
      </c>
      <c r="J50" s="39">
        <f>J48+J43</f>
        <v>6912369.670000002</v>
      </c>
      <c r="K50" s="39">
        <f>K48+K43</f>
        <v>9917455.360000003</v>
      </c>
      <c r="L50" s="39">
        <f>L48+L43</f>
        <v>2148913.4</v>
      </c>
      <c r="M50" s="39">
        <f>M48+M43</f>
        <v>2035904.0500000003</v>
      </c>
      <c r="N50" s="39">
        <f>N48+N43</f>
        <v>313.08</v>
      </c>
      <c r="O50" s="39">
        <f>O48+O43</f>
        <v>2148932.6000000006</v>
      </c>
      <c r="P50" s="39">
        <f>P48+P43</f>
        <v>2297891.1799999997</v>
      </c>
      <c r="Q50" s="39">
        <f>Q48+Q43</f>
        <v>736.95</v>
      </c>
      <c r="R50" s="39">
        <f>R48+R43</f>
        <v>4297846</v>
      </c>
      <c r="S50" s="39">
        <f>S48+S43</f>
        <v>8632691.26</v>
      </c>
      <c r="T50" s="39">
        <f>T48+T43</f>
        <v>11210215.67</v>
      </c>
      <c r="U50" s="39">
        <f>U48+U43</f>
        <v>7337991.419999998</v>
      </c>
      <c r="V50" s="39">
        <f>V48+V43</f>
        <v>1939.5299999999997</v>
      </c>
      <c r="W50" s="39">
        <f>W48+W43</f>
        <v>18550146.62</v>
      </c>
      <c r="X50" s="20"/>
      <c r="Y50" s="20"/>
      <c r="Z50" s="20"/>
      <c r="AA50" s="20"/>
      <c r="AB50" s="20"/>
    </row>
  </sheetData>
  <sheetProtection/>
  <mergeCells count="1">
    <mergeCell ref="A50:C50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47" r:id="rId1"/>
  <headerFooter alignWithMargins="0">
    <oddFooter>&amp;CPage &amp;P of &amp;N</oddFooter>
  </headerFooter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2024-05-08T08:48:01Z</cp:lastPrinted>
  <dcterms:created xsi:type="dcterms:W3CDTF">2008-07-09T17:17:44Z</dcterms:created>
  <dcterms:modified xsi:type="dcterms:W3CDTF">2024-06-04T08:29:19Z</dcterms:modified>
  <cp:category/>
  <cp:version/>
  <cp:contentType/>
  <cp:contentStatus/>
</cp:coreProperties>
</file>